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5745" windowHeight="3795" activeTab="0"/>
  </bookViews>
  <sheets>
    <sheet name="Strategi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Jesse Chen</author>
  </authors>
  <commentList>
    <comment ref="B6" authorId="0">
      <text>
        <r>
          <rPr>
            <b/>
            <sz val="8"/>
            <rFont val="Tahoma"/>
            <family val="2"/>
          </rPr>
          <t>Enter in the current
price of the underlying stock, index, or future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Enter the statistical
volatility of the underlying.
</t>
        </r>
      </text>
    </comment>
    <comment ref="B8" authorId="0">
      <text>
        <r>
          <rPr>
            <b/>
            <sz val="8"/>
            <rFont val="Tahoma"/>
            <family val="0"/>
          </rPr>
          <t>Select a single
option strategy</t>
        </r>
      </text>
    </comment>
    <comment ref="B9" authorId="0">
      <text>
        <r>
          <rPr>
            <b/>
            <sz val="8"/>
            <rFont val="Tahoma"/>
            <family val="0"/>
          </rPr>
          <t>Enter the number
of option contracts.
1 contract = 100 sh</t>
        </r>
      </text>
    </comment>
    <comment ref="B10" authorId="0">
      <text>
        <r>
          <rPr>
            <b/>
            <sz val="8"/>
            <rFont val="Tahoma"/>
            <family val="0"/>
          </rPr>
          <t>Enter in the expiration date of
the option contract</t>
        </r>
      </text>
    </comment>
    <comment ref="B11" authorId="0">
      <text>
        <r>
          <rPr>
            <b/>
            <sz val="8"/>
            <rFont val="Tahoma"/>
            <family val="0"/>
          </rPr>
          <t>Enter in the option
Strike (exercise) Price</t>
        </r>
      </text>
    </comment>
    <comment ref="B12" authorId="0">
      <text>
        <r>
          <rPr>
            <b/>
            <sz val="8"/>
            <rFont val="Tahoma"/>
            <family val="0"/>
          </rPr>
          <t>Enter in the Option
Price (Premium)</t>
        </r>
      </text>
    </comment>
    <comment ref="B13" authorId="0">
      <text>
        <r>
          <rPr>
            <b/>
            <sz val="8"/>
            <rFont val="Tahoma"/>
            <family val="0"/>
          </rPr>
          <t>Value of the Option
if it expired today</t>
        </r>
      </text>
    </comment>
    <comment ref="B14" authorId="0">
      <text>
        <r>
          <rPr>
            <b/>
            <sz val="8"/>
            <rFont val="Tahoma"/>
            <family val="0"/>
          </rPr>
          <t>Option Price,
LESS THE
Intrinsic Value</t>
        </r>
      </text>
    </comment>
    <comment ref="B15" authorId="0">
      <text>
        <r>
          <rPr>
            <b/>
            <sz val="8"/>
            <rFont val="Tahoma"/>
            <family val="0"/>
          </rPr>
          <t>BLACK SCHOLES
OPTIONS PRICING
MODEL
Compare this value to the actual options 
price above to
see if it is over or
under priced.</t>
        </r>
      </text>
    </comment>
    <comment ref="B16" authorId="0">
      <text>
        <r>
          <rPr>
            <b/>
            <sz val="8"/>
            <rFont val="Tahoma"/>
            <family val="0"/>
          </rPr>
          <t>Also derived from
the Black Scholes
Pricing Model.
Compare Implied Volatility to the Underlying Volatility c7 above to see whether the option is over or underpriced.</t>
        </r>
      </text>
    </comment>
    <comment ref="B24" authorId="0">
      <text>
        <r>
          <rPr>
            <b/>
            <sz val="8"/>
            <rFont val="Tahoma"/>
            <family val="0"/>
          </rPr>
          <t>Formula based on
the max profit / loss 
and probability of profit.
(for buy calls and puts only)</t>
        </r>
      </text>
    </comment>
  </commentList>
</comments>
</file>

<file path=xl/sharedStrings.xml><?xml version="1.0" encoding="utf-8"?>
<sst xmlns="http://schemas.openxmlformats.org/spreadsheetml/2006/main" count="48" uniqueCount="44">
  <si>
    <t>call</t>
  </si>
  <si>
    <t>Stock Price</t>
  </si>
  <si>
    <t>Option Strike</t>
  </si>
  <si>
    <t>Option Price</t>
  </si>
  <si>
    <t>Qty (no. contracts)</t>
  </si>
  <si>
    <t>Option Value</t>
  </si>
  <si>
    <t>Call or Put</t>
  </si>
  <si>
    <t>Buy or Sell</t>
  </si>
  <si>
    <t>Expiration</t>
  </si>
  <si>
    <t>SINGLE  CALLS or PUTS</t>
  </si>
  <si>
    <t>POSITION DATA</t>
  </si>
  <si>
    <t>Stock Volatility</t>
  </si>
  <si>
    <t>Max Profit</t>
  </si>
  <si>
    <t>Max Loss</t>
  </si>
  <si>
    <t>Probability of profit</t>
  </si>
  <si>
    <t>Expected Return</t>
  </si>
  <si>
    <t>PROFIT &amp; LOSS GRAPH</t>
  </si>
  <si>
    <t>prob</t>
  </si>
  <si>
    <t>POSITION SUMMARY</t>
  </si>
  <si>
    <t>Total Cost</t>
  </si>
  <si>
    <t>TP cp, stk,strk, yrs, int, div,svol</t>
  </si>
  <si>
    <t>IVH cp, stk,strk, yrs, int,div,prem</t>
  </si>
  <si>
    <t>=C6*0.4*C7*SQRT((C10-NOW())/365)</t>
  </si>
  <si>
    <t>=C13/(C6*0.4*SQRT((C10-NOW())/365))</t>
  </si>
  <si>
    <t xml:space="preserve">     Intrinsic Value</t>
  </si>
  <si>
    <t xml:space="preserve">     Time Value</t>
  </si>
  <si>
    <t>Implied Volatility</t>
  </si>
  <si>
    <t>Breakeven Price</t>
  </si>
  <si>
    <t>buy</t>
  </si>
  <si>
    <t>sell</t>
  </si>
  <si>
    <t>put</t>
  </si>
  <si>
    <t>Option</t>
  </si>
  <si>
    <t>buy call</t>
  </si>
  <si>
    <t>buy put</t>
  </si>
  <si>
    <t>sell call</t>
  </si>
  <si>
    <t>sell put</t>
  </si>
  <si>
    <t xml:space="preserve"> Required Input Cells in Green</t>
  </si>
  <si>
    <t>1a</t>
  </si>
  <si>
    <t>3a</t>
  </si>
  <si>
    <t>PROFIT &amp; LOSS (at expiration) TABLE</t>
  </si>
  <si>
    <t>PL at:</t>
  </si>
  <si>
    <t xml:space="preserve">     Price interval:</t>
  </si>
  <si>
    <t>Optionstar EZ</t>
  </si>
  <si>
    <t xml:space="preserve">    Copyright 2001  Star Research, Inc.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</si>
</sst>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m/d/yyyy"/>
    <numFmt numFmtId="170" formatCode="0.0"/>
    <numFmt numFmtId="171" formatCode="0.0%"/>
    <numFmt numFmtId="172" formatCode="mm/dd/yyyy"/>
    <numFmt numFmtId="173" formatCode="_(* #,##0.0_);_(* \(#,##0.0\);_(* &quot;-&quot;?_);_(@_)"/>
  </numFmts>
  <fonts count="1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9" fontId="6" fillId="2" borderId="0" xfId="21" applyFont="1" applyFill="1" applyBorder="1" applyAlignment="1" applyProtection="1" quotePrefix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/>
      <protection/>
    </xf>
    <xf numFmtId="0" fontId="4" fillId="4" borderId="4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5" fillId="5" borderId="3" xfId="0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7" fontId="0" fillId="2" borderId="3" xfId="15" applyNumberFormat="1" applyFill="1" applyBorder="1" applyAlignment="1" applyProtection="1">
      <alignment/>
      <protection/>
    </xf>
    <xf numFmtId="167" fontId="0" fillId="2" borderId="4" xfId="15" applyNumberFormat="1" applyFill="1" applyBorder="1" applyAlignment="1" applyProtection="1">
      <alignment/>
      <protection/>
    </xf>
    <xf numFmtId="167" fontId="0" fillId="2" borderId="4" xfId="15" applyNumberFormat="1" applyFont="1" applyFill="1" applyBorder="1" applyAlignment="1" applyProtection="1" quotePrefix="1">
      <alignment/>
      <protection/>
    </xf>
    <xf numFmtId="167" fontId="2" fillId="2" borderId="4" xfId="15" applyNumberFormat="1" applyFont="1" applyFill="1" applyBorder="1" applyAlignment="1" applyProtection="1">
      <alignment/>
      <protection/>
    </xf>
    <xf numFmtId="167" fontId="0" fillId="2" borderId="5" xfId="15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8" fontId="0" fillId="2" borderId="6" xfId="15" applyNumberFormat="1" applyFont="1" applyFill="1" applyBorder="1" applyAlignment="1" applyProtection="1" quotePrefix="1">
      <alignment/>
      <protection/>
    </xf>
    <xf numFmtId="168" fontId="0" fillId="2" borderId="7" xfId="15" applyNumberFormat="1" applyFont="1" applyFill="1" applyBorder="1" applyAlignment="1" applyProtection="1" quotePrefix="1">
      <alignment/>
      <protection/>
    </xf>
    <xf numFmtId="168" fontId="6" fillId="2" borderId="2" xfId="15" applyNumberFormat="1" applyFont="1" applyFill="1" applyBorder="1" applyAlignment="1" applyProtection="1" quotePrefix="1">
      <alignment/>
      <protection/>
    </xf>
    <xf numFmtId="168" fontId="6" fillId="2" borderId="0" xfId="15" applyNumberFormat="1" applyFont="1" applyFill="1" applyBorder="1" applyAlignment="1" applyProtection="1" quotePrefix="1">
      <alignment/>
      <protection/>
    </xf>
    <xf numFmtId="0" fontId="0" fillId="0" borderId="2" xfId="0" applyFill="1" applyBorder="1" applyAlignment="1" applyProtection="1">
      <alignment/>
      <protection/>
    </xf>
    <xf numFmtId="9" fontId="0" fillId="2" borderId="9" xfId="21" applyFill="1" applyBorder="1" applyAlignment="1" applyProtection="1">
      <alignment/>
      <protection/>
    </xf>
    <xf numFmtId="9" fontId="0" fillId="2" borderId="10" xfId="21" applyFill="1" applyBorder="1" applyAlignment="1" applyProtection="1">
      <alignment/>
      <protection/>
    </xf>
    <xf numFmtId="9" fontId="0" fillId="2" borderId="11" xfId="2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0" fillId="6" borderId="6" xfId="0" applyFont="1" applyFill="1" applyBorder="1" applyAlignment="1" applyProtection="1">
      <alignment/>
      <protection/>
    </xf>
    <xf numFmtId="14" fontId="5" fillId="2" borderId="7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43" fontId="5" fillId="0" borderId="12" xfId="0" applyNumberFormat="1" applyFont="1" applyBorder="1" applyAlignment="1" applyProtection="1" quotePrefix="1">
      <alignment/>
      <protection/>
    </xf>
    <xf numFmtId="0" fontId="5" fillId="0" borderId="9" xfId="0" applyFont="1" applyBorder="1" applyAlignment="1" applyProtection="1">
      <alignment/>
      <protection/>
    </xf>
    <xf numFmtId="43" fontId="5" fillId="0" borderId="11" xfId="0" applyNumberFormat="1" applyFont="1" applyBorder="1" applyAlignment="1" applyProtection="1" quotePrefix="1">
      <alignment/>
      <protection/>
    </xf>
    <xf numFmtId="43" fontId="0" fillId="0" borderId="8" xfId="15" applyFont="1" applyBorder="1" applyAlignment="1" applyProtection="1" quotePrefix="1">
      <alignment/>
      <protection/>
    </xf>
    <xf numFmtId="0" fontId="0" fillId="0" borderId="9" xfId="0" applyFill="1" applyBorder="1" applyAlignment="1" applyProtection="1">
      <alignment/>
      <protection/>
    </xf>
    <xf numFmtId="9" fontId="0" fillId="0" borderId="11" xfId="21" applyFont="1" applyBorder="1" applyAlignment="1" applyProtection="1" quotePrefix="1">
      <alignment/>
      <protection/>
    </xf>
    <xf numFmtId="168" fontId="0" fillId="0" borderId="8" xfId="15" applyNumberFormat="1" applyBorder="1" applyAlignment="1" applyProtection="1">
      <alignment/>
      <protection/>
    </xf>
    <xf numFmtId="168" fontId="0" fillId="0" borderId="12" xfId="15" applyNumberFormat="1" applyBorder="1" applyAlignment="1" applyProtection="1">
      <alignment/>
      <protection/>
    </xf>
    <xf numFmtId="43" fontId="0" fillId="2" borderId="0" xfId="0" applyNumberFormat="1" applyFill="1" applyAlignment="1" applyProtection="1" quotePrefix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43" fontId="0" fillId="0" borderId="12" xfId="0" applyNumberFormat="1" applyBorder="1" applyAlignment="1" applyProtection="1" quotePrefix="1">
      <alignment/>
      <protection/>
    </xf>
    <xf numFmtId="10" fontId="0" fillId="0" borderId="12" xfId="21" applyNumberFormat="1" applyFont="1" applyFill="1" applyBorder="1" applyAlignment="1" applyProtection="1" quotePrefix="1">
      <alignment/>
      <protection/>
    </xf>
    <xf numFmtId="0" fontId="0" fillId="0" borderId="9" xfId="0" applyBorder="1" applyAlignment="1" applyProtection="1">
      <alignment/>
      <protection/>
    </xf>
    <xf numFmtId="168" fontId="0" fillId="0" borderId="11" xfId="15" applyNumberFormat="1" applyBorder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10" fontId="6" fillId="2" borderId="0" xfId="21" applyNumberFormat="1" applyFont="1" applyFill="1" applyBorder="1" applyAlignment="1" applyProtection="1" quotePrefix="1">
      <alignment/>
      <protection/>
    </xf>
    <xf numFmtId="0" fontId="6" fillId="2" borderId="0" xfId="0" applyFont="1" applyFill="1" applyBorder="1" applyAlignment="1" applyProtection="1" quotePrefix="1">
      <alignment/>
      <protection/>
    </xf>
    <xf numFmtId="0" fontId="6" fillId="2" borderId="0" xfId="0" applyFont="1" applyFill="1" applyBorder="1" applyAlignment="1" applyProtection="1">
      <alignment/>
      <protection/>
    </xf>
    <xf numFmtId="168" fontId="6" fillId="2" borderId="0" xfId="0" applyNumberFormat="1" applyFont="1" applyFill="1" applyBorder="1" applyAlignment="1" applyProtection="1">
      <alignment/>
      <protection/>
    </xf>
    <xf numFmtId="168" fontId="6" fillId="2" borderId="0" xfId="15" applyNumberFormat="1" applyFont="1" applyFill="1" applyBorder="1" applyAlignment="1" applyProtection="1">
      <alignment/>
      <protection/>
    </xf>
    <xf numFmtId="43" fontId="0" fillId="5" borderId="8" xfId="15" applyFill="1" applyBorder="1" applyAlignment="1" applyProtection="1">
      <alignment/>
      <protection locked="0"/>
    </xf>
    <xf numFmtId="9" fontId="0" fillId="5" borderId="12" xfId="2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14" fontId="0" fillId="5" borderId="12" xfId="0" applyNumberFormat="1" applyFill="1" applyBorder="1" applyAlignment="1" applyProtection="1">
      <alignment/>
      <protection locked="0"/>
    </xf>
    <xf numFmtId="43" fontId="0" fillId="5" borderId="12" xfId="15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/>
    </xf>
    <xf numFmtId="43" fontId="6" fillId="2" borderId="0" xfId="0" applyNumberFormat="1" applyFont="1" applyFill="1" applyBorder="1" applyAlignment="1" applyProtection="1">
      <alignment/>
      <protection/>
    </xf>
    <xf numFmtId="14" fontId="6" fillId="2" borderId="0" xfId="0" applyNumberFormat="1" applyFont="1" applyFill="1" applyBorder="1" applyAlignment="1" applyProtection="1">
      <alignment/>
      <protection/>
    </xf>
    <xf numFmtId="14" fontId="6" fillId="2" borderId="0" xfId="0" applyNumberFormat="1" applyFont="1" applyFill="1" applyBorder="1" applyAlignment="1" applyProtection="1" quotePrefix="1">
      <alignment/>
      <protection/>
    </xf>
    <xf numFmtId="43" fontId="6" fillId="2" borderId="0" xfId="15" applyFont="1" applyFill="1" applyBorder="1" applyAlignment="1" applyProtection="1" quotePrefix="1">
      <alignment/>
      <protection/>
    </xf>
    <xf numFmtId="167" fontId="6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6" fillId="2" borderId="0" xfId="21" applyFont="1" applyFill="1" applyBorder="1" applyAlignment="1" applyProtection="1">
      <alignment/>
      <protection locked="0"/>
    </xf>
    <xf numFmtId="14" fontId="6" fillId="2" borderId="0" xfId="0" applyNumberFormat="1" applyFont="1" applyFill="1" applyBorder="1" applyAlignment="1" applyProtection="1">
      <alignment/>
      <protection locked="0"/>
    </xf>
    <xf numFmtId="43" fontId="13" fillId="2" borderId="0" xfId="0" applyNumberFormat="1" applyFont="1" applyFill="1" applyBorder="1" applyAlignment="1" applyProtection="1" quotePrefix="1">
      <alignment/>
      <protection/>
    </xf>
    <xf numFmtId="0" fontId="13" fillId="2" borderId="0" xfId="0" applyFont="1" applyFill="1" applyBorder="1" applyAlignment="1" applyProtection="1">
      <alignment/>
      <protection/>
    </xf>
    <xf numFmtId="43" fontId="1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3" fontId="6" fillId="2" borderId="0" xfId="15" applyFont="1" applyFill="1" applyBorder="1" applyAlignment="1" applyProtection="1">
      <alignment/>
      <protection locked="0"/>
    </xf>
    <xf numFmtId="167" fontId="6" fillId="2" borderId="0" xfId="15" applyNumberFormat="1" applyFont="1" applyFill="1" applyBorder="1" applyAlignment="1" applyProtection="1">
      <alignment/>
      <protection/>
    </xf>
    <xf numFmtId="167" fontId="14" fillId="2" borderId="0" xfId="15" applyNumberFormat="1" applyFont="1" applyFill="1" applyBorder="1" applyAlignment="1" applyProtection="1">
      <alignment/>
      <protection/>
    </xf>
    <xf numFmtId="9" fontId="6" fillId="2" borderId="0" xfId="21" applyFont="1" applyFill="1" applyBorder="1" applyAlignment="1" applyProtection="1">
      <alignment/>
      <protection/>
    </xf>
    <xf numFmtId="43" fontId="6" fillId="2" borderId="0" xfId="0" applyNumberFormat="1" applyFont="1" applyFill="1" applyBorder="1" applyAlignment="1" applyProtection="1" quotePrefix="1">
      <alignment/>
      <protection/>
    </xf>
    <xf numFmtId="10" fontId="6" fillId="2" borderId="0" xfId="21" applyNumberFormat="1" applyFont="1" applyFill="1" applyBorder="1" applyAlignment="1" applyProtection="1">
      <alignment/>
      <protection/>
    </xf>
    <xf numFmtId="167" fontId="6" fillId="2" borderId="0" xfId="15" applyNumberFormat="1" applyFont="1" applyFill="1" applyBorder="1" applyAlignment="1" applyProtection="1" quotePrefix="1">
      <alignment/>
      <protection/>
    </xf>
    <xf numFmtId="10" fontId="6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Strategies!$E$6:$K$6</c:f>
              <c:numCache>
                <c:ptCount val="7"/>
                <c:pt idx="0">
                  <c:v>0</c:v>
                </c:pt>
                <c:pt idx="1">
                  <c:v>16.666666666666664</c:v>
                </c:pt>
                <c:pt idx="2">
                  <c:v>33.33333333333333</c:v>
                </c:pt>
                <c:pt idx="3">
                  <c:v>50</c:v>
                </c:pt>
                <c:pt idx="4">
                  <c:v>66.66666666666667</c:v>
                </c:pt>
                <c:pt idx="5">
                  <c:v>83.33333333333334</c:v>
                </c:pt>
                <c:pt idx="6">
                  <c:v>100</c:v>
                </c:pt>
              </c:numCache>
            </c:numRef>
          </c:cat>
          <c:val>
            <c:numRef>
              <c:f>Strategies!$E$7:$K$7</c:f>
              <c:numCache>
                <c:ptCount val="7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1466.6666666666672</c:v>
                </c:pt>
                <c:pt idx="5">
                  <c:v>3133.3333333333344</c:v>
                </c:pt>
                <c:pt idx="6">
                  <c:v>4800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Strategies!$E$6:$K$6</c:f>
              <c:numCache>
                <c:ptCount val="7"/>
                <c:pt idx="0">
                  <c:v>0</c:v>
                </c:pt>
                <c:pt idx="1">
                  <c:v>16.666666666666664</c:v>
                </c:pt>
                <c:pt idx="2">
                  <c:v>33.33333333333333</c:v>
                </c:pt>
                <c:pt idx="3">
                  <c:v>50</c:v>
                </c:pt>
                <c:pt idx="4">
                  <c:v>66.66666666666667</c:v>
                </c:pt>
                <c:pt idx="5">
                  <c:v>83.33333333333334</c:v>
                </c:pt>
                <c:pt idx="6">
                  <c:v>100</c:v>
                </c:pt>
              </c:numCache>
            </c:numRef>
          </c:cat>
          <c:val>
            <c:numRef>
              <c:f>Strategies!$E$9:$K$9</c:f>
              <c:numCache>
                <c:ptCount val="7"/>
                <c:pt idx="0">
                  <c:v>-200</c:v>
                </c:pt>
                <c:pt idx="1">
                  <c:v>-200</c:v>
                </c:pt>
                <c:pt idx="2">
                  <c:v>-199.9991615975665</c:v>
                </c:pt>
                <c:pt idx="3">
                  <c:v>0.01585585386578714</c:v>
                </c:pt>
                <c:pt idx="4">
                  <c:v>1492.3549412294</c:v>
                </c:pt>
                <c:pt idx="5">
                  <c:v>3158.8847399484875</c:v>
                </c:pt>
                <c:pt idx="6">
                  <c:v>4825.551404531102</c:v>
                </c:pt>
              </c:numCache>
            </c:numRef>
          </c:val>
          <c:smooth val="0"/>
        </c:ser>
        <c:marker val="1"/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66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38100</xdr:rowOff>
    </xdr:from>
    <xdr:to>
      <xdr:col>11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352675" y="1924050"/>
        <a:ext cx="37147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161925</xdr:colOff>
      <xdr:row>0</xdr:row>
      <xdr:rowOff>47625</xdr:rowOff>
    </xdr:from>
    <xdr:to>
      <xdr:col>11</xdr:col>
      <xdr:colOff>19050</xdr:colOff>
      <xdr:row>2</xdr:row>
      <xdr:rowOff>19050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47625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3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5" customWidth="1"/>
    <col min="2" max="2" width="16.7109375" style="5" customWidth="1"/>
    <col min="3" max="3" width="10.00390625" style="5" customWidth="1"/>
    <col min="4" max="4" width="4.57421875" style="5" customWidth="1"/>
    <col min="5" max="5" width="9.28125" style="5" customWidth="1"/>
    <col min="6" max="11" width="7.7109375" style="5" customWidth="1"/>
    <col min="12" max="12" width="7.140625" style="79" customWidth="1"/>
    <col min="13" max="13" width="7.421875" style="79" customWidth="1"/>
    <col min="14" max="15" width="9.140625" style="78" customWidth="1"/>
    <col min="16" max="22" width="8.28125" style="61" customWidth="1"/>
    <col min="23" max="23" width="10.57421875" style="61" customWidth="1"/>
    <col min="24" max="25" width="9.140625" style="61" customWidth="1"/>
    <col min="26" max="16384" width="9.140625" style="5" customWidth="1"/>
  </cols>
  <sheetData>
    <row r="1" spans="1:27" ht="15.75">
      <c r="A1" s="3"/>
      <c r="B1" s="4" t="s">
        <v>42</v>
      </c>
      <c r="C1" s="3"/>
      <c r="D1" s="3"/>
      <c r="E1" s="3"/>
      <c r="F1" s="3"/>
      <c r="G1" s="3"/>
      <c r="H1" s="3"/>
      <c r="I1" s="3"/>
      <c r="J1" s="3"/>
      <c r="K1" s="3"/>
      <c r="L1" s="58"/>
      <c r="M1" s="58"/>
      <c r="N1" s="61"/>
      <c r="O1" s="61"/>
      <c r="Q1" s="70">
        <v>1</v>
      </c>
      <c r="U1" s="70">
        <v>1</v>
      </c>
      <c r="V1" s="61">
        <f>VLOOKUP(U1,T2:U5,2)</f>
        <v>16.666666666666668</v>
      </c>
      <c r="W1" s="70">
        <v>1</v>
      </c>
      <c r="Z1" s="3">
        <v>1</v>
      </c>
      <c r="AA1" s="3"/>
    </row>
    <row r="2" spans="1:2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58"/>
      <c r="M2" s="58"/>
      <c r="N2" s="61" t="s">
        <v>7</v>
      </c>
      <c r="O2" s="71" t="str">
        <f>VLOOKUP(Q1,P2:R5,3)</f>
        <v>buy</v>
      </c>
      <c r="P2" s="61">
        <v>1</v>
      </c>
      <c r="Q2" s="61" t="s">
        <v>32</v>
      </c>
      <c r="R2" s="61" t="s">
        <v>28</v>
      </c>
      <c r="S2" s="61" t="s">
        <v>0</v>
      </c>
      <c r="T2" s="61">
        <v>1</v>
      </c>
      <c r="U2" s="72">
        <f>$C$6/3</f>
        <v>16.666666666666668</v>
      </c>
      <c r="V2" s="61">
        <v>1</v>
      </c>
      <c r="W2" s="73">
        <f ca="1">NOW()</f>
        <v>37206.60097511574</v>
      </c>
      <c r="Z2" s="3">
        <v>2</v>
      </c>
      <c r="AA2" s="3"/>
    </row>
    <row r="3" spans="1:27" ht="15.75">
      <c r="A3" s="3"/>
      <c r="B3" s="7" t="s">
        <v>9</v>
      </c>
      <c r="C3" s="8"/>
      <c r="D3" s="9"/>
      <c r="E3" s="3"/>
      <c r="F3" s="10" t="s">
        <v>36</v>
      </c>
      <c r="G3" s="11"/>
      <c r="H3" s="12"/>
      <c r="I3" s="95" t="s">
        <v>43</v>
      </c>
      <c r="K3" s="3"/>
      <c r="L3" s="58"/>
      <c r="M3" s="58"/>
      <c r="N3" s="61" t="s">
        <v>6</v>
      </c>
      <c r="O3" s="71" t="str">
        <f>VLOOKUP(Q1,P2:S5,4)</f>
        <v>call</v>
      </c>
      <c r="P3" s="61">
        <v>2</v>
      </c>
      <c r="Q3" s="61" t="s">
        <v>33</v>
      </c>
      <c r="R3" s="61" t="s">
        <v>28</v>
      </c>
      <c r="S3" s="61" t="s">
        <v>30</v>
      </c>
      <c r="T3" s="61">
        <v>2</v>
      </c>
      <c r="U3" s="72">
        <f>$C$6/4</f>
        <v>12.5</v>
      </c>
      <c r="V3" s="61">
        <v>2</v>
      </c>
      <c r="W3" s="74">
        <f>W2+(W5-W2)/4</f>
        <v>37215.95073133681</v>
      </c>
      <c r="Z3" s="3">
        <v>3</v>
      </c>
      <c r="AA3" s="3"/>
    </row>
    <row r="4" spans="1:2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8"/>
      <c r="M4" s="58"/>
      <c r="N4" s="61"/>
      <c r="O4" s="61"/>
      <c r="P4" s="61">
        <v>3</v>
      </c>
      <c r="Q4" s="61" t="s">
        <v>34</v>
      </c>
      <c r="R4" s="61" t="s">
        <v>29</v>
      </c>
      <c r="S4" s="61" t="s">
        <v>0</v>
      </c>
      <c r="T4" s="61">
        <v>3</v>
      </c>
      <c r="U4" s="72">
        <f>$C$6/6</f>
        <v>8.333333333333334</v>
      </c>
      <c r="V4" s="61">
        <v>3</v>
      </c>
      <c r="W4" s="74">
        <f>W2+(W5-W2)/2</f>
        <v>37225.30048755787</v>
      </c>
      <c r="Z4" s="3">
        <v>4</v>
      </c>
      <c r="AA4" s="3"/>
    </row>
    <row r="5" spans="1:27" ht="12.75">
      <c r="A5" s="3"/>
      <c r="B5" s="13" t="s">
        <v>10</v>
      </c>
      <c r="C5" s="14"/>
      <c r="D5" s="3"/>
      <c r="E5" s="15" t="s">
        <v>39</v>
      </c>
      <c r="F5" s="16"/>
      <c r="G5" s="16"/>
      <c r="H5" s="16"/>
      <c r="I5" s="16"/>
      <c r="J5" s="16"/>
      <c r="K5" s="17"/>
      <c r="L5" s="58"/>
      <c r="M5" s="58"/>
      <c r="N5" s="61"/>
      <c r="O5" s="61"/>
      <c r="P5" s="61">
        <v>4</v>
      </c>
      <c r="Q5" s="61" t="s">
        <v>35</v>
      </c>
      <c r="R5" s="61" t="s">
        <v>29</v>
      </c>
      <c r="S5" s="61" t="s">
        <v>30</v>
      </c>
      <c r="T5" s="61">
        <v>4</v>
      </c>
      <c r="U5" s="72">
        <f>$C$6/10</f>
        <v>5</v>
      </c>
      <c r="V5" s="61">
        <v>4</v>
      </c>
      <c r="W5" s="73">
        <f>C10</f>
        <v>37244</v>
      </c>
      <c r="Z5" s="3">
        <v>5</v>
      </c>
      <c r="AA5" s="3"/>
    </row>
    <row r="6" spans="1:27" ht="12.75">
      <c r="A6" s="3"/>
      <c r="B6" s="18" t="s">
        <v>1</v>
      </c>
      <c r="C6" s="64">
        <v>50</v>
      </c>
      <c r="D6" s="3"/>
      <c r="E6" s="19">
        <f>$H$6-$V$1*3</f>
        <v>0</v>
      </c>
      <c r="F6" s="20">
        <f>$H$6-$V$1*2</f>
        <v>16.666666666666664</v>
      </c>
      <c r="G6" s="21">
        <f>$H$6-$V$1</f>
        <v>33.33333333333333</v>
      </c>
      <c r="H6" s="22">
        <f>C6</f>
        <v>50</v>
      </c>
      <c r="I6" s="20">
        <f>$H$6+$V$1</f>
        <v>66.66666666666667</v>
      </c>
      <c r="J6" s="20">
        <f>$H$6+$V$1*2</f>
        <v>83.33333333333334</v>
      </c>
      <c r="K6" s="23">
        <f>$H$6+$V$1*3</f>
        <v>100</v>
      </c>
      <c r="L6" s="58"/>
      <c r="M6" s="58"/>
      <c r="N6" s="61"/>
      <c r="O6" s="61"/>
      <c r="Z6" s="3">
        <v>6</v>
      </c>
      <c r="AA6" s="3"/>
    </row>
    <row r="7" spans="1:27" ht="12.75">
      <c r="A7" s="3"/>
      <c r="B7" s="24" t="s">
        <v>11</v>
      </c>
      <c r="C7" s="65">
        <v>0.3</v>
      </c>
      <c r="D7" s="3"/>
      <c r="E7" s="25">
        <f>IF($O$2="buy",1,-1)*IF($O$3="call",P8,P9)</f>
        <v>-200</v>
      </c>
      <c r="F7" s="26">
        <f aca="true" t="shared" si="0" ref="F7:M7">IF($O$2="buy",1,-1)*IF($O$3="call",Q8,Q9)</f>
        <v>-200</v>
      </c>
      <c r="G7" s="26">
        <f t="shared" si="0"/>
        <v>-200</v>
      </c>
      <c r="H7" s="26">
        <f t="shared" si="0"/>
        <v>-200</v>
      </c>
      <c r="I7" s="26">
        <f t="shared" si="0"/>
        <v>1466.6666666666672</v>
      </c>
      <c r="J7" s="26">
        <f t="shared" si="0"/>
        <v>3133.3333333333344</v>
      </c>
      <c r="K7" s="26">
        <f t="shared" si="0"/>
        <v>4800</v>
      </c>
      <c r="L7" s="27">
        <f t="shared" si="0"/>
        <v>-200</v>
      </c>
      <c r="M7" s="28">
        <f t="shared" si="0"/>
        <v>4800</v>
      </c>
      <c r="N7" s="61"/>
      <c r="O7" s="61" t="s">
        <v>17</v>
      </c>
      <c r="P7" s="59">
        <f ca="1">(NORMSDIST(LN(ABS(C22)/$C$6)/($C$7*SQRT(($C$10-NOW())/365))))</f>
        <v>0.6585184983993106</v>
      </c>
      <c r="W7" s="61">
        <v>0</v>
      </c>
      <c r="X7" s="72">
        <f>C6*2</f>
        <v>100</v>
      </c>
      <c r="Z7" s="3">
        <v>7</v>
      </c>
      <c r="AA7" s="3"/>
    </row>
    <row r="8" spans="1:27" ht="15" customHeight="1">
      <c r="A8" s="3"/>
      <c r="B8" s="29" t="s">
        <v>31</v>
      </c>
      <c r="C8" s="66"/>
      <c r="D8" s="3"/>
      <c r="E8" s="30">
        <f aca="true" t="shared" si="1" ref="E8:K8">E7/$C$19</f>
        <v>-1</v>
      </c>
      <c r="F8" s="31">
        <f t="shared" si="1"/>
        <v>-1</v>
      </c>
      <c r="G8" s="31">
        <f t="shared" si="1"/>
        <v>-1</v>
      </c>
      <c r="H8" s="31">
        <f t="shared" si="1"/>
        <v>-1</v>
      </c>
      <c r="I8" s="31">
        <f t="shared" si="1"/>
        <v>7.333333333333336</v>
      </c>
      <c r="J8" s="31">
        <f t="shared" si="1"/>
        <v>15.666666666666671</v>
      </c>
      <c r="K8" s="32">
        <f t="shared" si="1"/>
        <v>24</v>
      </c>
      <c r="L8" s="58"/>
      <c r="M8" s="58"/>
      <c r="N8" s="61"/>
      <c r="O8" s="61">
        <v>1</v>
      </c>
      <c r="P8" s="28">
        <f aca="true" t="shared" si="2" ref="P8:V8">IF(E6&lt;=$C$11,-$C$19,(E6-$C$11)*$C$9*100-$C$19)</f>
        <v>-200</v>
      </c>
      <c r="Q8" s="28">
        <f t="shared" si="2"/>
        <v>-200</v>
      </c>
      <c r="R8" s="28">
        <f t="shared" si="2"/>
        <v>-200</v>
      </c>
      <c r="S8" s="28">
        <f t="shared" si="2"/>
        <v>-200</v>
      </c>
      <c r="T8" s="28">
        <f t="shared" si="2"/>
        <v>1466.6666666666672</v>
      </c>
      <c r="U8" s="28">
        <f t="shared" si="2"/>
        <v>3133.3333333333344</v>
      </c>
      <c r="V8" s="28">
        <f t="shared" si="2"/>
        <v>4800</v>
      </c>
      <c r="W8" s="28">
        <f>IF(W7&lt;=$C$11,-$C$19,(W7-$C$11)*$C$9*100-$C$19)</f>
        <v>-200</v>
      </c>
      <c r="X8" s="28">
        <f>IF(X7&lt;=$C$11,-$C$19,(X7-$C$11)*$C$9*100-$C$19)</f>
        <v>4800</v>
      </c>
      <c r="Z8" s="3">
        <v>8</v>
      </c>
      <c r="AA8" s="3"/>
    </row>
    <row r="9" spans="1:27" ht="12.75">
      <c r="A9" s="3"/>
      <c r="B9" s="24" t="s">
        <v>4</v>
      </c>
      <c r="C9" s="67">
        <v>1</v>
      </c>
      <c r="D9" s="3"/>
      <c r="E9" s="28">
        <f>IF($O$2="buy",1,-1)*IF($O$3="call",P10,P11)</f>
        <v>-200</v>
      </c>
      <c r="F9" s="28">
        <f aca="true" t="shared" si="3" ref="F9:K9">IF($O$2="buy",1,-1)*IF($O$3="call",Q10,Q11)</f>
        <v>-200</v>
      </c>
      <c r="G9" s="28">
        <f t="shared" si="3"/>
        <v>-199.99916164408822</v>
      </c>
      <c r="H9" s="28">
        <f t="shared" si="3"/>
        <v>0.01530590558687095</v>
      </c>
      <c r="I9" s="28">
        <f t="shared" si="3"/>
        <v>1492.3548048947225</v>
      </c>
      <c r="J9" s="28">
        <f t="shared" si="3"/>
        <v>3158.8846078421016</v>
      </c>
      <c r="K9" s="28">
        <f t="shared" si="3"/>
        <v>4825.55127242489</v>
      </c>
      <c r="L9" s="58"/>
      <c r="M9" s="58"/>
      <c r="N9" s="61"/>
      <c r="O9" s="61">
        <v>3</v>
      </c>
      <c r="P9" s="28">
        <f aca="true" t="shared" si="4" ref="P9:V9">IF(E6&gt;=$C$11,-$C$19,($C$11-E6)*$C$9*100-$C$19)</f>
        <v>4800</v>
      </c>
      <c r="Q9" s="28">
        <f t="shared" si="4"/>
        <v>3133.3333333333335</v>
      </c>
      <c r="R9" s="28">
        <f t="shared" si="4"/>
        <v>1466.6666666666672</v>
      </c>
      <c r="S9" s="28">
        <f t="shared" si="4"/>
        <v>-200</v>
      </c>
      <c r="T9" s="28">
        <f t="shared" si="4"/>
        <v>-200</v>
      </c>
      <c r="U9" s="28">
        <f t="shared" si="4"/>
        <v>-200</v>
      </c>
      <c r="V9" s="28">
        <f t="shared" si="4"/>
        <v>-200</v>
      </c>
      <c r="W9" s="28">
        <f>IF(W7&gt;=$C$11,-$C$19,($C$11-W7)*$C$9*100-$C$19)</f>
        <v>4800</v>
      </c>
      <c r="X9" s="28">
        <f>IF(X7&gt;=$C$11,-$C$19,($C$11-X7)*$C$9*100-$C$19)</f>
        <v>-200</v>
      </c>
      <c r="Z9" s="3">
        <v>9</v>
      </c>
      <c r="AA9" s="3"/>
    </row>
    <row r="10" spans="1:27" ht="12.75">
      <c r="A10" s="3"/>
      <c r="B10" s="24" t="s">
        <v>8</v>
      </c>
      <c r="C10" s="68">
        <v>37244</v>
      </c>
      <c r="D10" s="3"/>
      <c r="E10" s="33" t="s">
        <v>16</v>
      </c>
      <c r="F10" s="34"/>
      <c r="G10" s="34"/>
      <c r="H10" s="34"/>
      <c r="I10" s="34"/>
      <c r="J10" s="34"/>
      <c r="K10" s="35"/>
      <c r="L10" s="58"/>
      <c r="M10" s="58"/>
      <c r="N10" s="61"/>
      <c r="O10" s="61" t="s">
        <v>37</v>
      </c>
      <c r="P10" s="28">
        <f>(TP("C",E$6+0.00001,$C$11,($C$10-$F$11+0.00001)/365,0.05,0,$C$16)-$C$12)*$C$9*100</f>
        <v>-200</v>
      </c>
      <c r="Q10" s="28">
        <f>(TP("C",F$6+0.00001,$C$11,($C$10-$F$11+0.00001)/365,0.05,0,$C$16)-$C$12)*$C$9*100</f>
        <v>-200</v>
      </c>
      <c r="R10" s="28">
        <f>(TP("C",G$6+0.00001,$C$11,($C$10-$F$11+0.00001)/365,0.05,0,$C$16)-$C$12)*$C$9*100</f>
        <v>-199.99916164408822</v>
      </c>
      <c r="S10" s="28">
        <f>(TP("C",H$6+0.00001,$C$11,($C$10-$F$11+0.00001)/365,0.05,0,$C$16)-$C$12)*$C$9*100</f>
        <v>0.01530590558687095</v>
      </c>
      <c r="T10" s="28">
        <f>(TP("C",I$6+0.00001,$C$11,($C$10-$F$11+0.00001)/365,0.05,0,$C$16)-$C$12)*$C$9*100</f>
        <v>1492.3548048947225</v>
      </c>
      <c r="U10" s="28">
        <f>(TP("C",J$6+0.00001,$C$11,($C$10-$F$11+0.00001)/365,0.05,0,$C$16)-$C$12)*$C$9*100</f>
        <v>3158.8846078421016</v>
      </c>
      <c r="V10" s="28">
        <f>(TP("C",K$6+0.00001,$C$11,($C$10-$F$11+0.00001)/365,0.05,0,$C$16)-$C$12)*$C$9*100</f>
        <v>4825.55127242489</v>
      </c>
      <c r="Z10" s="3">
        <v>10</v>
      </c>
      <c r="AA10" s="3"/>
    </row>
    <row r="11" spans="1:27" ht="12.75">
      <c r="A11" s="3"/>
      <c r="B11" s="24" t="s">
        <v>2</v>
      </c>
      <c r="C11" s="69">
        <v>50</v>
      </c>
      <c r="D11" s="3"/>
      <c r="E11" s="36" t="s">
        <v>40</v>
      </c>
      <c r="F11" s="37">
        <f>VLOOKUP(W1,V2:W5,2)</f>
        <v>37206.60097511574</v>
      </c>
      <c r="G11" s="16"/>
      <c r="H11" s="38"/>
      <c r="I11" s="16" t="s">
        <v>41</v>
      </c>
      <c r="J11" s="16"/>
      <c r="K11" s="17"/>
      <c r="L11" s="58"/>
      <c r="M11" s="58"/>
      <c r="N11" s="61"/>
      <c r="O11" s="61" t="s">
        <v>38</v>
      </c>
      <c r="P11" s="28">
        <f>(TP("P",E$6+0.00001,$C$11,($C$10-$F$11+0.00001)/365,0.05,0,$C$16)-$C$12)*$C$9*100</f>
        <v>4774.448727575114</v>
      </c>
      <c r="Q11" s="28">
        <f>(TP("P",F$6+0.00001,$C$11,($C$10-$F$11+0.00001)/365,0.05,0,$C$16)-$C$12)*$C$9*100</f>
        <v>3107.7820609084483</v>
      </c>
      <c r="R11" s="28">
        <f>(TP("P",G$6+0.00001,$C$11,($C$10-$F$11+0.00001)/365,0.05,0,$C$16)-$C$12)*$C$9*100</f>
        <v>1441.1162325976932</v>
      </c>
      <c r="S11" s="28">
        <f>(TP("P",H$6+0.00001,$C$11,($C$10-$F$11+0.00001)/365,0.05,0,$C$16)-$C$12)*$C$9*100</f>
        <v>-25.53596651929837</v>
      </c>
      <c r="T11" s="28">
        <f>(TP("P",I$6+0.00001,$C$11,($C$10-$F$11+0.00001)/365,0.05,0,$C$16)-$C$12)*$C$9*100</f>
        <v>-199.8631341968293</v>
      </c>
      <c r="U11" s="28">
        <f>(TP("P",J$6+0.00001,$C$11,($C$10-$F$11+0.00001)/365,0.05,0,$C$16)-$C$12)*$C$9*100</f>
        <v>-199.99999791611748</v>
      </c>
      <c r="V11" s="28">
        <f>(TP("P",K$6+0.00001,$C$11,($C$10-$F$11+0.00001)/365,0.05,0,$C$16)-$C$12)*$C$9*100</f>
        <v>-199.9999999999959</v>
      </c>
      <c r="Z11" s="3">
        <v>11</v>
      </c>
      <c r="AA11" s="3"/>
    </row>
    <row r="12" spans="1:27" ht="12.75">
      <c r="A12" s="3"/>
      <c r="B12" s="24" t="s">
        <v>3</v>
      </c>
      <c r="C12" s="69">
        <v>2</v>
      </c>
      <c r="D12" s="3"/>
      <c r="E12" s="39"/>
      <c r="F12" s="2"/>
      <c r="G12" s="2"/>
      <c r="H12" s="2"/>
      <c r="I12" s="2"/>
      <c r="J12" s="2"/>
      <c r="K12" s="40"/>
      <c r="L12" s="58"/>
      <c r="M12" s="58"/>
      <c r="N12" s="61"/>
      <c r="O12" s="61"/>
      <c r="Z12" s="3">
        <v>12</v>
      </c>
      <c r="AA12" s="3"/>
    </row>
    <row r="13" spans="1:27" ht="12.75">
      <c r="A13" s="3"/>
      <c r="B13" s="41" t="s">
        <v>24</v>
      </c>
      <c r="C13" s="42">
        <f>IF(O3="call",IF(C11&lt;C6,C6-C11,0),IF(C11&gt;C6,C11-C6,0))</f>
        <v>0</v>
      </c>
      <c r="D13" s="3"/>
      <c r="E13" s="6"/>
      <c r="F13" s="2"/>
      <c r="G13" s="2"/>
      <c r="H13" s="2"/>
      <c r="I13" s="2"/>
      <c r="J13" s="2"/>
      <c r="K13" s="40"/>
      <c r="L13" s="58"/>
      <c r="M13" s="58"/>
      <c r="N13" s="61"/>
      <c r="O13" s="61"/>
      <c r="Z13" s="3">
        <v>13</v>
      </c>
      <c r="AA13" s="3"/>
    </row>
    <row r="14" spans="1:27" ht="12.75">
      <c r="A14" s="3"/>
      <c r="B14" s="43" t="s">
        <v>25</v>
      </c>
      <c r="C14" s="44">
        <f>C12-C13</f>
        <v>2</v>
      </c>
      <c r="D14" s="3"/>
      <c r="E14" s="6"/>
      <c r="F14" s="2"/>
      <c r="G14" s="2"/>
      <c r="H14" s="2"/>
      <c r="I14" s="2"/>
      <c r="J14" s="2"/>
      <c r="K14" s="40"/>
      <c r="L14" s="58"/>
      <c r="M14" s="58"/>
      <c r="N14" s="61"/>
      <c r="O14" s="61"/>
      <c r="Z14" s="3">
        <v>14</v>
      </c>
      <c r="AA14" s="3"/>
    </row>
    <row r="15" spans="1:27" ht="12.75">
      <c r="A15" s="3"/>
      <c r="B15" s="18" t="s">
        <v>5</v>
      </c>
      <c r="C15" s="45">
        <f ca="1">TP(IF(O3="put","P","C"),C6,C11,(C10-NOW())/365,0.05,0,C7)</f>
        <v>2.040353404312448</v>
      </c>
      <c r="D15" s="3"/>
      <c r="E15" s="6"/>
      <c r="F15" s="2"/>
      <c r="G15" s="2"/>
      <c r="H15" s="2"/>
      <c r="I15" s="2"/>
      <c r="J15" s="2"/>
      <c r="K15" s="40"/>
      <c r="L15" s="58"/>
      <c r="M15" s="58"/>
      <c r="N15" s="61"/>
      <c r="O15" s="61"/>
      <c r="Z15" s="3"/>
      <c r="AA15" s="3"/>
    </row>
    <row r="16" spans="1:27" ht="12.75">
      <c r="A16" s="3"/>
      <c r="B16" s="46" t="s">
        <v>26</v>
      </c>
      <c r="C16" s="47">
        <f ca="1">IVH(IF(O3="put","P","C"),C6,C11,(C10-NOW())/365,0.05,0,C12)</f>
        <v>0.293670654296875</v>
      </c>
      <c r="D16" s="3"/>
      <c r="E16" s="6"/>
      <c r="F16" s="2"/>
      <c r="G16" s="2"/>
      <c r="H16" s="2"/>
      <c r="I16" s="2"/>
      <c r="J16" s="2"/>
      <c r="K16" s="40"/>
      <c r="L16" s="58"/>
      <c r="M16" s="58"/>
      <c r="N16" s="61"/>
      <c r="O16" s="61"/>
      <c r="Z16" s="3"/>
      <c r="AA16" s="3"/>
    </row>
    <row r="17" spans="1:27" ht="12.75">
      <c r="A17" s="3"/>
      <c r="B17" s="3"/>
      <c r="C17" s="3"/>
      <c r="D17" s="3"/>
      <c r="E17" s="6"/>
      <c r="F17" s="2"/>
      <c r="G17" s="2"/>
      <c r="H17" s="2"/>
      <c r="I17" s="2"/>
      <c r="J17" s="2"/>
      <c r="K17" s="40"/>
      <c r="L17" s="58"/>
      <c r="M17" s="58"/>
      <c r="N17" s="61"/>
      <c r="O17" s="61"/>
      <c r="Z17" s="3"/>
      <c r="AA17" s="3"/>
    </row>
    <row r="18" spans="1:27" ht="12.75">
      <c r="A18" s="3"/>
      <c r="B18" s="13" t="s">
        <v>18</v>
      </c>
      <c r="C18" s="14"/>
      <c r="D18" s="3"/>
      <c r="E18" s="6"/>
      <c r="F18" s="2"/>
      <c r="G18" s="2"/>
      <c r="H18" s="2"/>
      <c r="I18" s="2"/>
      <c r="J18" s="2"/>
      <c r="K18" s="40"/>
      <c r="L18" s="58"/>
      <c r="M18" s="58"/>
      <c r="N18" s="61" t="s">
        <v>20</v>
      </c>
      <c r="O18" s="61"/>
      <c r="Z18" s="3"/>
      <c r="AA18" s="3"/>
    </row>
    <row r="19" spans="1:27" ht="12.75">
      <c r="A19" s="3"/>
      <c r="B19" s="18" t="s">
        <v>19</v>
      </c>
      <c r="C19" s="48">
        <f>C12*C9*100</f>
        <v>200</v>
      </c>
      <c r="D19" s="3"/>
      <c r="E19" s="6"/>
      <c r="F19" s="2"/>
      <c r="G19" s="2"/>
      <c r="H19" s="2"/>
      <c r="I19" s="2"/>
      <c r="J19" s="2"/>
      <c r="K19" s="40"/>
      <c r="L19" s="58"/>
      <c r="M19" s="58"/>
      <c r="N19" s="61" t="s">
        <v>21</v>
      </c>
      <c r="O19" s="61"/>
      <c r="Z19" s="3"/>
      <c r="AA19" s="3"/>
    </row>
    <row r="20" spans="1:27" ht="12.75">
      <c r="A20" s="3"/>
      <c r="B20" s="24" t="s">
        <v>12</v>
      </c>
      <c r="C20" s="49">
        <f>MAX(E7:M7)</f>
        <v>4800</v>
      </c>
      <c r="D20" s="50"/>
      <c r="E20" s="6"/>
      <c r="F20" s="2"/>
      <c r="G20" s="2"/>
      <c r="H20" s="2"/>
      <c r="I20" s="2"/>
      <c r="J20" s="2"/>
      <c r="K20" s="40"/>
      <c r="L20" s="58"/>
      <c r="M20" s="58"/>
      <c r="N20" s="61"/>
      <c r="O20" s="61"/>
      <c r="Z20" s="3"/>
      <c r="AA20" s="3"/>
    </row>
    <row r="21" spans="1:27" ht="12.75">
      <c r="A21" s="3"/>
      <c r="B21" s="24" t="s">
        <v>13</v>
      </c>
      <c r="C21" s="49">
        <f>MIN(E7:M7)</f>
        <v>-200</v>
      </c>
      <c r="D21" s="3"/>
      <c r="E21" s="51"/>
      <c r="F21" s="52"/>
      <c r="G21" s="52"/>
      <c r="H21" s="52"/>
      <c r="I21" s="52"/>
      <c r="J21" s="52"/>
      <c r="K21" s="53"/>
      <c r="L21" s="58"/>
      <c r="M21" s="58"/>
      <c r="N21" s="75" t="s">
        <v>22</v>
      </c>
      <c r="O21" s="61"/>
      <c r="Z21" s="3"/>
      <c r="AA21" s="3"/>
    </row>
    <row r="22" spans="1:27" ht="12.75">
      <c r="A22" s="3"/>
      <c r="B22" s="24" t="s">
        <v>27</v>
      </c>
      <c r="C22" s="54">
        <f>IF(O3="call",C6+C12,C6-C12)</f>
        <v>52</v>
      </c>
      <c r="D22" s="3"/>
      <c r="E22" s="6"/>
      <c r="F22" s="2"/>
      <c r="G22" s="2"/>
      <c r="H22" s="2"/>
      <c r="I22" s="2"/>
      <c r="J22" s="2"/>
      <c r="K22" s="40"/>
      <c r="L22" s="58"/>
      <c r="M22" s="58"/>
      <c r="N22" s="1" t="s">
        <v>23</v>
      </c>
      <c r="O22" s="61"/>
      <c r="Z22" s="3"/>
      <c r="AA22" s="3"/>
    </row>
    <row r="23" spans="1:27" ht="12.75">
      <c r="A23" s="3"/>
      <c r="B23" s="24" t="s">
        <v>14</v>
      </c>
      <c r="C23" s="55">
        <f>IF(O2="sell",IF(C22&gt;=C6,P7,1-P7),IF(C22&gt;=C6,1-P7,P7))</f>
        <v>0.34148150160068935</v>
      </c>
      <c r="D23" s="3"/>
      <c r="E23" s="6"/>
      <c r="F23" s="2"/>
      <c r="G23" s="2"/>
      <c r="H23" s="2"/>
      <c r="I23" s="2"/>
      <c r="J23" s="2"/>
      <c r="K23" s="40"/>
      <c r="L23" s="58"/>
      <c r="M23" s="58"/>
      <c r="N23" s="61"/>
      <c r="O23" s="61"/>
      <c r="Z23" s="3"/>
      <c r="AA23" s="3"/>
    </row>
    <row r="24" spans="1:27" ht="12.75">
      <c r="A24" s="3"/>
      <c r="B24" s="56" t="s">
        <v>15</v>
      </c>
      <c r="C24" s="57">
        <f>IF(O2="sell","na",C20*C23*0.1+C21*(1-C23))</f>
        <v>32.20742108846878</v>
      </c>
      <c r="D24" s="3"/>
      <c r="E24" s="51"/>
      <c r="F24" s="52"/>
      <c r="G24" s="52"/>
      <c r="H24" s="52"/>
      <c r="I24" s="52"/>
      <c r="J24" s="52"/>
      <c r="K24" s="53"/>
      <c r="L24" s="58"/>
      <c r="M24" s="58"/>
      <c r="N24" s="61"/>
      <c r="O24" s="61"/>
      <c r="Z24" s="3"/>
      <c r="AA24" s="3"/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58"/>
      <c r="M25" s="58"/>
      <c r="N25" s="61"/>
      <c r="O25" s="61"/>
      <c r="Z25" s="3"/>
      <c r="AA25" s="3"/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77"/>
      <c r="M26" s="77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77"/>
      <c r="M27" s="77"/>
      <c r="Z27" s="3"/>
      <c r="AA27" s="3"/>
    </row>
    <row r="28" spans="1:27" ht="15.75">
      <c r="A28" s="61"/>
      <c r="B28" s="85"/>
      <c r="C28" s="86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Z28" s="61"/>
      <c r="AA28" s="61"/>
    </row>
    <row r="29" spans="1:27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Z29" s="61"/>
      <c r="AA29" s="61"/>
    </row>
    <row r="30" spans="1:27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Z30" s="61"/>
      <c r="AA30" s="61"/>
    </row>
    <row r="31" spans="1:27" ht="12.75">
      <c r="A31" s="61"/>
      <c r="B31" s="61"/>
      <c r="C31" s="87"/>
      <c r="D31" s="61"/>
      <c r="E31" s="88"/>
      <c r="F31" s="88"/>
      <c r="G31" s="88"/>
      <c r="H31" s="89"/>
      <c r="I31" s="88"/>
      <c r="J31" s="88"/>
      <c r="K31" s="88"/>
      <c r="L31" s="61"/>
      <c r="M31" s="61"/>
      <c r="N31" s="61"/>
      <c r="O31" s="61"/>
      <c r="Z31" s="61"/>
      <c r="AA31" s="61"/>
    </row>
    <row r="32" spans="1:27" ht="12.75">
      <c r="A32" s="61"/>
      <c r="B32" s="61"/>
      <c r="C32" s="80"/>
      <c r="D32" s="61"/>
      <c r="E32" s="63"/>
      <c r="F32" s="63"/>
      <c r="G32" s="63"/>
      <c r="H32" s="63"/>
      <c r="I32" s="63"/>
      <c r="J32" s="63"/>
      <c r="K32" s="63"/>
      <c r="L32" s="61"/>
      <c r="M32" s="61"/>
      <c r="N32" s="61"/>
      <c r="O32" s="61"/>
      <c r="Z32" s="61"/>
      <c r="AA32" s="61"/>
    </row>
    <row r="33" spans="1:27" ht="12.75">
      <c r="A33" s="61"/>
      <c r="B33" s="61"/>
      <c r="C33" s="70"/>
      <c r="D33" s="61"/>
      <c r="E33" s="90"/>
      <c r="F33" s="90"/>
      <c r="G33" s="90"/>
      <c r="H33" s="90"/>
      <c r="I33" s="90"/>
      <c r="J33" s="90"/>
      <c r="K33" s="90"/>
      <c r="L33" s="61"/>
      <c r="M33" s="61"/>
      <c r="N33" s="61"/>
      <c r="O33" s="61"/>
      <c r="Z33" s="61"/>
      <c r="AA33" s="61"/>
    </row>
    <row r="34" spans="1:27" ht="12.75">
      <c r="A34" s="61"/>
      <c r="B34" s="61"/>
      <c r="C34" s="8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Z34" s="61"/>
      <c r="AA34" s="61"/>
    </row>
    <row r="35" spans="1:27" ht="12.75">
      <c r="A35" s="61"/>
      <c r="B35" s="61"/>
      <c r="C35" s="87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Z35" s="61"/>
      <c r="AA35" s="61"/>
    </row>
    <row r="36" spans="1:27" ht="12.75">
      <c r="A36" s="61"/>
      <c r="B36" s="61"/>
      <c r="C36" s="8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Z36" s="61"/>
      <c r="AA36" s="61"/>
    </row>
    <row r="37" spans="1:27" ht="12.75">
      <c r="A37" s="61"/>
      <c r="B37" s="83"/>
      <c r="C37" s="8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Z37" s="61"/>
      <c r="AA37" s="61"/>
    </row>
    <row r="38" spans="1:27" ht="12.75">
      <c r="A38" s="61"/>
      <c r="B38" s="83"/>
      <c r="C38" s="8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Z38" s="61"/>
      <c r="AA38" s="61"/>
    </row>
    <row r="39" spans="1:27" ht="12.75">
      <c r="A39" s="61"/>
      <c r="B39" s="61"/>
      <c r="C39" s="7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Z39" s="61"/>
      <c r="AA39" s="61"/>
    </row>
    <row r="40" spans="1:27" ht="12.75">
      <c r="A40" s="61"/>
      <c r="B40" s="61"/>
      <c r="C40" s="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Z40" s="61"/>
      <c r="AA40" s="61"/>
    </row>
    <row r="41" spans="1:27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Z41" s="61"/>
      <c r="AA41" s="61"/>
    </row>
    <row r="42" spans="1:27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Z42" s="61"/>
      <c r="AA42" s="61"/>
    </row>
    <row r="43" spans="1:27" ht="12.75">
      <c r="A43" s="61"/>
      <c r="B43" s="6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Z43" s="61"/>
      <c r="AA43" s="61"/>
    </row>
    <row r="44" spans="1:27" ht="12.75">
      <c r="A44" s="61"/>
      <c r="B44" s="61"/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Z44" s="61"/>
      <c r="AA44" s="61"/>
    </row>
    <row r="45" spans="1:27" ht="12.75">
      <c r="A45" s="61"/>
      <c r="B45" s="61"/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Z45" s="61"/>
      <c r="AA45" s="61"/>
    </row>
    <row r="46" spans="1:27" ht="12.75">
      <c r="A46" s="61"/>
      <c r="B46" s="61"/>
      <c r="C46" s="91"/>
      <c r="D46" s="9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Z46" s="61"/>
      <c r="AA46" s="61"/>
    </row>
    <row r="47" spans="1:27" ht="12.75">
      <c r="A47" s="61"/>
      <c r="B47" s="61"/>
      <c r="C47" s="9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Z47" s="61"/>
      <c r="AA47" s="61"/>
    </row>
    <row r="48" spans="1:27" ht="12.75">
      <c r="A48" s="61"/>
      <c r="B48" s="61"/>
      <c r="C48" s="9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Z48" s="61"/>
      <c r="AA48" s="61"/>
    </row>
    <row r="49" spans="1:27" ht="12.75">
      <c r="A49" s="61"/>
      <c r="B49" s="61"/>
      <c r="C49" s="9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Z49" s="61"/>
      <c r="AA49" s="61"/>
    </row>
    <row r="50" spans="1:27" ht="12.75">
      <c r="A50" s="61"/>
      <c r="B50" s="61"/>
      <c r="C50" s="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Z50" s="61"/>
      <c r="AA50" s="61"/>
    </row>
    <row r="51" spans="1:27" ht="12.75">
      <c r="A51" s="61"/>
      <c r="B51" s="61"/>
      <c r="C51" s="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Z51" s="61"/>
      <c r="AA51" s="61"/>
    </row>
    <row r="52" spans="1:27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70">
        <v>0</v>
      </c>
      <c r="Q52" s="70"/>
      <c r="Z52" s="61"/>
      <c r="AA52" s="61"/>
    </row>
    <row r="53" spans="1:27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75"/>
      <c r="Z53" s="61"/>
      <c r="AA53" s="61"/>
    </row>
    <row r="54" spans="1:27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75"/>
      <c r="Z54" s="61"/>
      <c r="AA54" s="61"/>
    </row>
    <row r="55" spans="1:27" ht="15.75">
      <c r="A55" s="61"/>
      <c r="B55" s="8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59"/>
      <c r="O55" s="61"/>
      <c r="P55" s="75"/>
      <c r="Z55" s="61"/>
      <c r="AA55" s="61"/>
    </row>
    <row r="56" spans="1:27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75"/>
      <c r="Z56" s="61"/>
      <c r="AA56" s="61"/>
    </row>
    <row r="57" spans="1:27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Z57" s="61"/>
      <c r="AA57" s="61"/>
    </row>
    <row r="58" spans="1:27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Z58" s="61"/>
      <c r="AA58" s="61"/>
    </row>
    <row r="59" spans="1:27" ht="12.75">
      <c r="A59" s="61"/>
      <c r="B59" s="61"/>
      <c r="C59" s="70"/>
      <c r="D59" s="61"/>
      <c r="E59" s="61"/>
      <c r="F59" s="61"/>
      <c r="G59" s="93"/>
      <c r="H59" s="93"/>
      <c r="I59" s="93"/>
      <c r="J59" s="89"/>
      <c r="K59" s="93"/>
      <c r="L59" s="93"/>
      <c r="M59" s="93"/>
      <c r="N59" s="61"/>
      <c r="O59" s="61"/>
      <c r="Q59" s="76"/>
      <c r="R59" s="76"/>
      <c r="S59" s="76"/>
      <c r="T59" s="76"/>
      <c r="U59" s="76"/>
      <c r="V59" s="76"/>
      <c r="W59" s="76"/>
      <c r="Y59" s="76"/>
      <c r="Z59" s="61"/>
      <c r="AA59" s="61"/>
    </row>
    <row r="60" spans="1:27" ht="12.75">
      <c r="A60" s="61"/>
      <c r="B60" s="61"/>
      <c r="C60" s="80"/>
      <c r="D60" s="61"/>
      <c r="E60" s="61"/>
      <c r="F60" s="61"/>
      <c r="G60" s="63"/>
      <c r="H60" s="63"/>
      <c r="I60" s="63"/>
      <c r="J60" s="63"/>
      <c r="K60" s="63"/>
      <c r="L60" s="63"/>
      <c r="M60" s="63"/>
      <c r="N60" s="61"/>
      <c r="O60" s="61"/>
      <c r="Q60" s="28"/>
      <c r="R60" s="28"/>
      <c r="S60" s="28"/>
      <c r="T60" s="28"/>
      <c r="U60" s="28"/>
      <c r="V60" s="28"/>
      <c r="W60" s="28"/>
      <c r="Z60" s="61"/>
      <c r="AA60" s="61"/>
    </row>
    <row r="61" spans="1:27" ht="15.75" customHeight="1">
      <c r="A61" s="61"/>
      <c r="B61" s="61"/>
      <c r="C61" s="7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Q61" s="28"/>
      <c r="R61" s="28"/>
      <c r="S61" s="28"/>
      <c r="T61" s="28"/>
      <c r="U61" s="28"/>
      <c r="V61" s="28"/>
      <c r="W61" s="28"/>
      <c r="Z61" s="61"/>
      <c r="AA61" s="61"/>
    </row>
    <row r="62" spans="1:27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Q62" s="62"/>
      <c r="R62" s="62"/>
      <c r="S62" s="62"/>
      <c r="T62" s="62"/>
      <c r="U62" s="62"/>
      <c r="V62" s="62"/>
      <c r="W62" s="62"/>
      <c r="Z62" s="61"/>
      <c r="AA62" s="61"/>
    </row>
    <row r="63" spans="1:27" ht="12.75">
      <c r="A63" s="61"/>
      <c r="B63" s="61"/>
      <c r="C63" s="70"/>
      <c r="D63" s="61"/>
      <c r="E63" s="70"/>
      <c r="F63" s="61"/>
      <c r="G63" s="61"/>
      <c r="H63" s="61"/>
      <c r="I63" s="61"/>
      <c r="J63" s="61"/>
      <c r="K63" s="61"/>
      <c r="L63" s="61"/>
      <c r="M63" s="61"/>
      <c r="N63" s="61"/>
      <c r="O63" s="61"/>
      <c r="Q63" s="62"/>
      <c r="R63" s="62"/>
      <c r="S63" s="62"/>
      <c r="T63" s="62"/>
      <c r="U63" s="62"/>
      <c r="V63" s="62"/>
      <c r="W63" s="62"/>
      <c r="Z63" s="61"/>
      <c r="AA63" s="61"/>
    </row>
    <row r="64" spans="1:27" ht="12.75">
      <c r="A64" s="61"/>
      <c r="B64" s="61"/>
      <c r="C64" s="81"/>
      <c r="D64" s="61"/>
      <c r="E64" s="81"/>
      <c r="F64" s="61"/>
      <c r="G64" s="61"/>
      <c r="H64" s="61"/>
      <c r="I64" s="61"/>
      <c r="J64" s="61"/>
      <c r="K64" s="61"/>
      <c r="L64" s="61"/>
      <c r="M64" s="61"/>
      <c r="N64" s="61"/>
      <c r="O64" s="61"/>
      <c r="Q64" s="28"/>
      <c r="R64" s="28"/>
      <c r="S64" s="28"/>
      <c r="T64" s="28"/>
      <c r="U64" s="28"/>
      <c r="V64" s="28"/>
      <c r="W64" s="28"/>
      <c r="Z64" s="61"/>
      <c r="AA64" s="61"/>
    </row>
    <row r="65" spans="1:27" ht="12.75">
      <c r="A65" s="61"/>
      <c r="B65" s="61"/>
      <c r="C65" s="70"/>
      <c r="D65" s="61"/>
      <c r="E65" s="70"/>
      <c r="F65" s="61"/>
      <c r="G65" s="61"/>
      <c r="H65" s="61"/>
      <c r="I65" s="61"/>
      <c r="J65" s="61"/>
      <c r="K65" s="61"/>
      <c r="L65" s="61"/>
      <c r="M65" s="61"/>
      <c r="N65" s="61"/>
      <c r="O65" s="61"/>
      <c r="Q65" s="28"/>
      <c r="R65" s="28"/>
      <c r="S65" s="28"/>
      <c r="T65" s="28"/>
      <c r="U65" s="28"/>
      <c r="V65" s="28"/>
      <c r="W65" s="28"/>
      <c r="Z65" s="61"/>
      <c r="AA65" s="61"/>
    </row>
    <row r="66" spans="1:27" ht="12.75">
      <c r="A66" s="61"/>
      <c r="B66" s="61"/>
      <c r="C66" s="70"/>
      <c r="D66" s="61"/>
      <c r="E66" s="70"/>
      <c r="F66" s="61"/>
      <c r="G66" s="61"/>
      <c r="H66" s="61"/>
      <c r="I66" s="61"/>
      <c r="J66" s="61"/>
      <c r="K66" s="61"/>
      <c r="L66" s="61"/>
      <c r="M66" s="61"/>
      <c r="N66" s="61"/>
      <c r="O66" s="61"/>
      <c r="Q66" s="62"/>
      <c r="R66" s="62"/>
      <c r="S66" s="62"/>
      <c r="T66" s="62"/>
      <c r="U66" s="62"/>
      <c r="V66" s="62"/>
      <c r="W66" s="62"/>
      <c r="Z66" s="61"/>
      <c r="AA66" s="61"/>
    </row>
    <row r="67" spans="1:27" ht="12.75">
      <c r="A67" s="61"/>
      <c r="B67" s="83"/>
      <c r="C67" s="82"/>
      <c r="D67" s="61"/>
      <c r="E67" s="82"/>
      <c r="F67" s="61"/>
      <c r="G67" s="61"/>
      <c r="H67" s="61"/>
      <c r="I67" s="61"/>
      <c r="J67" s="61"/>
      <c r="K67" s="61"/>
      <c r="L67" s="61"/>
      <c r="M67" s="61"/>
      <c r="N67" s="61"/>
      <c r="O67" s="61"/>
      <c r="Z67" s="61"/>
      <c r="AA67" s="61"/>
    </row>
    <row r="68" spans="1:27" ht="12.75">
      <c r="A68" s="61"/>
      <c r="B68" s="83"/>
      <c r="C68" s="82"/>
      <c r="D68" s="61"/>
      <c r="E68" s="82"/>
      <c r="F68" s="61"/>
      <c r="G68" s="61"/>
      <c r="H68" s="61"/>
      <c r="I68" s="61"/>
      <c r="J68" s="61"/>
      <c r="K68" s="61"/>
      <c r="L68" s="61"/>
      <c r="M68" s="61"/>
      <c r="N68" s="61"/>
      <c r="O68" s="61"/>
      <c r="Z68" s="61"/>
      <c r="AA68" s="61"/>
    </row>
    <row r="69" spans="1:27" ht="12.75">
      <c r="A69" s="61"/>
      <c r="B69" s="61"/>
      <c r="C69" s="75"/>
      <c r="D69" s="61"/>
      <c r="E69" s="75"/>
      <c r="F69" s="61"/>
      <c r="G69" s="61"/>
      <c r="H69" s="61"/>
      <c r="I69" s="61"/>
      <c r="J69" s="61"/>
      <c r="K69" s="61"/>
      <c r="L69" s="61"/>
      <c r="M69" s="61"/>
      <c r="N69" s="61"/>
      <c r="O69" s="61"/>
      <c r="Z69" s="61"/>
      <c r="AA69" s="61"/>
    </row>
    <row r="70" spans="1:27" ht="12.75">
      <c r="A70" s="61"/>
      <c r="B70" s="61"/>
      <c r="C70" s="1"/>
      <c r="D70" s="61"/>
      <c r="E70" s="1"/>
      <c r="F70" s="61"/>
      <c r="G70" s="61"/>
      <c r="H70" s="61"/>
      <c r="I70" s="61"/>
      <c r="J70" s="61"/>
      <c r="K70" s="61"/>
      <c r="L70" s="61"/>
      <c r="M70" s="61"/>
      <c r="N70" s="61"/>
      <c r="O70" s="61"/>
      <c r="Z70" s="61"/>
      <c r="AA70" s="61"/>
    </row>
    <row r="71" spans="1:27" ht="12.75">
      <c r="A71" s="61"/>
      <c r="B71" s="61"/>
      <c r="C71" s="60"/>
      <c r="D71" s="61"/>
      <c r="E71" s="60"/>
      <c r="F71" s="61"/>
      <c r="G71" s="61"/>
      <c r="H71" s="61"/>
      <c r="I71" s="61"/>
      <c r="J71" s="61"/>
      <c r="K71" s="61"/>
      <c r="L71" s="61"/>
      <c r="M71" s="61"/>
      <c r="N71" s="61"/>
      <c r="O71" s="61"/>
      <c r="Z71" s="61"/>
      <c r="AA71" s="61"/>
    </row>
    <row r="72" spans="1:27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Z72" s="61"/>
      <c r="AA72" s="61"/>
    </row>
    <row r="73" spans="1:27" ht="12.75">
      <c r="A73" s="61"/>
      <c r="B73" s="61"/>
      <c r="C73" s="28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Z73" s="61"/>
      <c r="AA73" s="61"/>
    </row>
    <row r="74" spans="1:27" ht="12.75">
      <c r="A74" s="61"/>
      <c r="B74" s="61"/>
      <c r="C74" s="6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Z74" s="61"/>
      <c r="AA74" s="61"/>
    </row>
    <row r="75" spans="1:27" ht="12.75">
      <c r="A75" s="61"/>
      <c r="B75" s="61"/>
      <c r="C75" s="6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Z75" s="61"/>
      <c r="AA75" s="61"/>
    </row>
    <row r="76" spans="1:27" ht="12.75">
      <c r="A76" s="61"/>
      <c r="B76" s="61"/>
      <c r="C76" s="7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Z76" s="61"/>
      <c r="AA76" s="61"/>
    </row>
    <row r="77" spans="1:27" ht="12.75">
      <c r="A77" s="61"/>
      <c r="B77" s="61"/>
      <c r="C77" s="59"/>
      <c r="D77" s="61"/>
      <c r="E77" s="59"/>
      <c r="F77" s="61"/>
      <c r="G77" s="61"/>
      <c r="H77" s="61"/>
      <c r="I77" s="61"/>
      <c r="J77" s="61"/>
      <c r="K77" s="61"/>
      <c r="L77" s="61"/>
      <c r="M77" s="61"/>
      <c r="N77" s="61"/>
      <c r="O77" s="61"/>
      <c r="Z77" s="61"/>
      <c r="AA77" s="61"/>
    </row>
    <row r="78" spans="1:27" ht="12.75">
      <c r="A78" s="61"/>
      <c r="B78" s="61"/>
      <c r="C78" s="6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Z78" s="61"/>
      <c r="AA78" s="61"/>
    </row>
    <row r="79" spans="1:27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Z79" s="61"/>
      <c r="AA79" s="61"/>
    </row>
    <row r="80" spans="1:27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70"/>
      <c r="Z80" s="61"/>
      <c r="AA80" s="61"/>
    </row>
    <row r="81" spans="1:27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75"/>
      <c r="Z81" s="61"/>
      <c r="AA81" s="61"/>
    </row>
    <row r="82" spans="1:27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75"/>
      <c r="Z82" s="61"/>
      <c r="AA82" s="61"/>
    </row>
    <row r="83" spans="1:27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75"/>
      <c r="Z83" s="61"/>
      <c r="AA83" s="61"/>
    </row>
    <row r="84" spans="1:27" ht="15.75">
      <c r="A84" s="61"/>
      <c r="B84" s="85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75"/>
      <c r="Z84" s="61"/>
      <c r="AA84" s="61"/>
    </row>
    <row r="85" spans="1:27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Z85" s="61"/>
      <c r="AA85" s="61"/>
    </row>
    <row r="86" spans="1:27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Z86" s="61"/>
      <c r="AA86" s="61"/>
    </row>
    <row r="87" spans="1:27" ht="12.75">
      <c r="A87" s="61"/>
      <c r="B87" s="61"/>
      <c r="C87" s="70"/>
      <c r="D87" s="61"/>
      <c r="E87" s="61"/>
      <c r="F87" s="61"/>
      <c r="G87" s="93"/>
      <c r="H87" s="93"/>
      <c r="I87" s="93"/>
      <c r="J87" s="89"/>
      <c r="K87" s="93"/>
      <c r="L87" s="93"/>
      <c r="M87" s="93"/>
      <c r="N87" s="61"/>
      <c r="O87" s="61"/>
      <c r="Q87" s="76"/>
      <c r="R87" s="76"/>
      <c r="S87" s="76"/>
      <c r="T87" s="76"/>
      <c r="U87" s="76"/>
      <c r="V87" s="76"/>
      <c r="W87" s="76"/>
      <c r="Z87" s="61"/>
      <c r="AA87" s="61"/>
    </row>
    <row r="88" spans="1:27" ht="12.75">
      <c r="A88" s="61"/>
      <c r="B88" s="61"/>
      <c r="C88" s="80"/>
      <c r="D88" s="61"/>
      <c r="E88" s="61"/>
      <c r="F88" s="61"/>
      <c r="G88" s="62"/>
      <c r="H88" s="62"/>
      <c r="I88" s="62"/>
      <c r="J88" s="62"/>
      <c r="K88" s="62"/>
      <c r="L88" s="62"/>
      <c r="M88" s="62"/>
      <c r="N88" s="62"/>
      <c r="O88" s="62"/>
      <c r="Q88" s="63"/>
      <c r="R88" s="28"/>
      <c r="S88" s="28"/>
      <c r="T88" s="28"/>
      <c r="U88" s="28"/>
      <c r="V88" s="28"/>
      <c r="W88" s="28"/>
      <c r="X88" s="28"/>
      <c r="Y88" s="28"/>
      <c r="Z88" s="61"/>
      <c r="AA88" s="61"/>
    </row>
    <row r="89" spans="1:27" ht="12.75">
      <c r="A89" s="61"/>
      <c r="B89" s="61"/>
      <c r="C89" s="7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Q89" s="28"/>
      <c r="R89" s="28"/>
      <c r="S89" s="28"/>
      <c r="T89" s="28"/>
      <c r="U89" s="28"/>
      <c r="V89" s="28"/>
      <c r="W89" s="28"/>
      <c r="X89" s="28"/>
      <c r="Y89" s="28"/>
      <c r="Z89" s="61"/>
      <c r="AA89" s="61"/>
    </row>
    <row r="90" spans="1:27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Q90" s="62"/>
      <c r="R90" s="62"/>
      <c r="S90" s="62"/>
      <c r="T90" s="62"/>
      <c r="U90" s="62"/>
      <c r="V90" s="62"/>
      <c r="W90" s="62"/>
      <c r="X90" s="62"/>
      <c r="Y90" s="62"/>
      <c r="Z90" s="61"/>
      <c r="AA90" s="61"/>
    </row>
    <row r="91" spans="1:27" ht="12.75">
      <c r="A91" s="61"/>
      <c r="B91" s="61"/>
      <c r="C91" s="70"/>
      <c r="D91" s="61"/>
      <c r="E91" s="70"/>
      <c r="F91" s="61"/>
      <c r="G91" s="61"/>
      <c r="H91" s="61"/>
      <c r="I91" s="61"/>
      <c r="J91" s="61"/>
      <c r="K91" s="61"/>
      <c r="L91" s="61"/>
      <c r="M91" s="61"/>
      <c r="N91" s="61"/>
      <c r="O91" s="61"/>
      <c r="Z91" s="61"/>
      <c r="AA91" s="61"/>
    </row>
    <row r="92" spans="1:27" ht="12.75">
      <c r="A92" s="61"/>
      <c r="B92" s="61"/>
      <c r="C92" s="81"/>
      <c r="D92" s="73"/>
      <c r="E92" s="81"/>
      <c r="F92" s="61"/>
      <c r="G92" s="61"/>
      <c r="H92" s="61"/>
      <c r="I92" s="61"/>
      <c r="J92" s="61"/>
      <c r="K92" s="61"/>
      <c r="L92" s="61"/>
      <c r="M92" s="61"/>
      <c r="N92" s="61"/>
      <c r="O92" s="61"/>
      <c r="Z92" s="61"/>
      <c r="AA92" s="61"/>
    </row>
    <row r="93" spans="1:27" ht="12.75">
      <c r="A93" s="61"/>
      <c r="B93" s="61"/>
      <c r="C93" s="70"/>
      <c r="D93" s="61"/>
      <c r="E93" s="70"/>
      <c r="F93" s="61"/>
      <c r="G93" s="61"/>
      <c r="H93" s="61"/>
      <c r="I93" s="61"/>
      <c r="J93" s="61"/>
      <c r="K93" s="61"/>
      <c r="L93" s="61"/>
      <c r="M93" s="61"/>
      <c r="N93" s="61"/>
      <c r="O93" s="61"/>
      <c r="Z93" s="61"/>
      <c r="AA93" s="61"/>
    </row>
    <row r="94" spans="1:27" ht="12.75">
      <c r="A94" s="61"/>
      <c r="B94" s="61"/>
      <c r="C94" s="70"/>
      <c r="D94" s="61"/>
      <c r="E94" s="70"/>
      <c r="F94" s="61"/>
      <c r="G94" s="61"/>
      <c r="H94" s="61"/>
      <c r="I94" s="61"/>
      <c r="J94" s="61"/>
      <c r="K94" s="61"/>
      <c r="L94" s="61"/>
      <c r="M94" s="61"/>
      <c r="N94" s="61"/>
      <c r="O94" s="61"/>
      <c r="Z94" s="61"/>
      <c r="AA94" s="61"/>
    </row>
    <row r="95" spans="1:27" ht="12.75">
      <c r="A95" s="61"/>
      <c r="B95" s="83"/>
      <c r="C95" s="82"/>
      <c r="D95" s="83"/>
      <c r="E95" s="82"/>
      <c r="F95" s="61"/>
      <c r="G95" s="61"/>
      <c r="H95" s="61"/>
      <c r="I95" s="61"/>
      <c r="J95" s="61"/>
      <c r="K95" s="61"/>
      <c r="L95" s="61"/>
      <c r="M95" s="61"/>
      <c r="N95" s="61"/>
      <c r="O95" s="61"/>
      <c r="Z95" s="61"/>
      <c r="AA95" s="61"/>
    </row>
    <row r="96" spans="1:27" ht="12.75">
      <c r="A96" s="61"/>
      <c r="B96" s="83"/>
      <c r="C96" s="84"/>
      <c r="D96" s="83"/>
      <c r="E96" s="84"/>
      <c r="F96" s="61"/>
      <c r="G96" s="61"/>
      <c r="H96" s="61"/>
      <c r="I96" s="61"/>
      <c r="J96" s="61"/>
      <c r="K96" s="61"/>
      <c r="L96" s="61"/>
      <c r="M96" s="61"/>
      <c r="N96" s="61"/>
      <c r="O96" s="61"/>
      <c r="Z96" s="61"/>
      <c r="AA96" s="61"/>
    </row>
    <row r="97" spans="1:27" ht="12.75">
      <c r="A97" s="61"/>
      <c r="B97" s="61"/>
      <c r="C97" s="75"/>
      <c r="D97" s="61"/>
      <c r="E97" s="75"/>
      <c r="F97" s="61"/>
      <c r="G97" s="61"/>
      <c r="H97" s="61"/>
      <c r="I97" s="61"/>
      <c r="J97" s="61"/>
      <c r="K97" s="61"/>
      <c r="L97" s="61"/>
      <c r="M97" s="61"/>
      <c r="N97" s="61"/>
      <c r="O97" s="61"/>
      <c r="Z97" s="61"/>
      <c r="AA97" s="61"/>
    </row>
    <row r="98" spans="1:27" ht="12.75">
      <c r="A98" s="61"/>
      <c r="B98" s="61"/>
      <c r="C98" s="1"/>
      <c r="D98" s="61"/>
      <c r="E98" s="1"/>
      <c r="F98" s="61"/>
      <c r="G98" s="61"/>
      <c r="H98" s="61"/>
      <c r="I98" s="61"/>
      <c r="J98" s="61"/>
      <c r="K98" s="61"/>
      <c r="L98" s="61"/>
      <c r="M98" s="61"/>
      <c r="N98" s="61"/>
      <c r="O98" s="61"/>
      <c r="Z98" s="61"/>
      <c r="AA98" s="61"/>
    </row>
    <row r="99" spans="1:27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Z99" s="61"/>
      <c r="AA99" s="61"/>
    </row>
    <row r="100" spans="1:27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Z100" s="61"/>
      <c r="AA100" s="61"/>
    </row>
    <row r="101" spans="1:27" ht="12.75">
      <c r="A101" s="61"/>
      <c r="B101" s="61"/>
      <c r="C101" s="63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Z101" s="61"/>
      <c r="AA101" s="61"/>
    </row>
    <row r="102" spans="1:27" ht="12.75">
      <c r="A102" s="61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Z102" s="61"/>
      <c r="AA102" s="61"/>
    </row>
    <row r="103" spans="1:27" ht="12.75">
      <c r="A103" s="61"/>
      <c r="B103" s="61"/>
      <c r="C103" s="62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Z103" s="61"/>
      <c r="AA103" s="61"/>
    </row>
    <row r="104" spans="1:27" ht="12.75">
      <c r="A104" s="61"/>
      <c r="B104" s="61"/>
      <c r="C104" s="61"/>
      <c r="D104" s="61"/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Z104" s="61"/>
      <c r="AA104" s="61"/>
    </row>
    <row r="105" spans="1:27" ht="12.75">
      <c r="A105" s="61"/>
      <c r="B105" s="61"/>
      <c r="C105" s="61"/>
      <c r="D105" s="61"/>
      <c r="E105" s="59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Z105" s="61"/>
      <c r="AA105" s="61"/>
    </row>
    <row r="106" spans="1:27" ht="12.75">
      <c r="A106" s="61"/>
      <c r="B106" s="61"/>
      <c r="C106" s="9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Z106" s="61"/>
      <c r="AA106" s="61"/>
    </row>
    <row r="107" spans="1:27" ht="12.75">
      <c r="A107" s="61"/>
      <c r="B107" s="61"/>
      <c r="C107" s="63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Z107" s="61"/>
      <c r="AA107" s="61"/>
    </row>
    <row r="108" spans="12:25" s="3" customFormat="1" ht="12.75">
      <c r="L108" s="77"/>
      <c r="M108" s="77"/>
      <c r="N108" s="78"/>
      <c r="O108" s="78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2:25" s="3" customFormat="1" ht="12.75">
      <c r="L109" s="77"/>
      <c r="M109" s="77"/>
      <c r="N109" s="78"/>
      <c r="O109" s="78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2:25" s="3" customFormat="1" ht="12.75">
      <c r="L110" s="77"/>
      <c r="M110" s="77"/>
      <c r="N110" s="78"/>
      <c r="O110" s="78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2:25" s="3" customFormat="1" ht="12.75">
      <c r="L111" s="77"/>
      <c r="M111" s="77"/>
      <c r="N111" s="78"/>
      <c r="O111" s="78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2:25" s="3" customFormat="1" ht="12.75">
      <c r="L112" s="77"/>
      <c r="M112" s="77"/>
      <c r="N112" s="78"/>
      <c r="O112" s="78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2:25" s="3" customFormat="1" ht="12.75">
      <c r="L113" s="77"/>
      <c r="M113" s="77"/>
      <c r="N113" s="78"/>
      <c r="O113" s="78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77"/>
      <c r="M114" s="77"/>
      <c r="Z114" s="3"/>
      <c r="AA114" s="3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77"/>
      <c r="M115" s="77"/>
      <c r="Z115" s="3"/>
      <c r="AA115" s="3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77"/>
      <c r="M116" s="77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77"/>
      <c r="M117" s="77"/>
      <c r="Z117" s="3"/>
      <c r="AA117" s="3"/>
    </row>
    <row r="118" spans="1: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77"/>
      <c r="M118" s="77"/>
      <c r="Z118" s="3"/>
      <c r="AA118" s="3"/>
    </row>
    <row r="119" spans="1: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77"/>
      <c r="M119" s="77"/>
      <c r="Z119" s="3"/>
      <c r="AA119" s="3"/>
    </row>
    <row r="120" spans="1: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77"/>
      <c r="M120" s="77"/>
      <c r="Z120" s="3"/>
      <c r="AA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77"/>
      <c r="M121" s="77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77"/>
      <c r="M122" s="77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77"/>
      <c r="M123" s="77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77"/>
      <c r="M124" s="77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77"/>
      <c r="M125" s="77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77"/>
      <c r="M126" s="77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77"/>
      <c r="M127" s="77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77"/>
      <c r="M128" s="77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77"/>
      <c r="M129" s="77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77"/>
      <c r="M130" s="77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77"/>
      <c r="M131" s="77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77"/>
      <c r="M132" s="77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77"/>
      <c r="M133" s="77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77"/>
      <c r="M134" s="77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77"/>
      <c r="M135" s="77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77"/>
      <c r="M136" s="77"/>
    </row>
  </sheetData>
  <sheetProtection password="C1E0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Chen</dc:creator>
  <cp:keywords/>
  <dc:description/>
  <cp:lastModifiedBy>Jesse Chen</cp:lastModifiedBy>
  <dcterms:created xsi:type="dcterms:W3CDTF">2001-10-24T22:15:55Z</dcterms:created>
  <dcterms:modified xsi:type="dcterms:W3CDTF">2001-11-11T20:25:24Z</dcterms:modified>
  <cp:category/>
  <cp:version/>
  <cp:contentType/>
  <cp:contentStatus/>
</cp:coreProperties>
</file>